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4" firstSheet="2" activeTab="2"/>
  </bookViews>
  <sheets>
    <sheet name="Introducción" sheetId="1" r:id="rId1"/>
    <sheet name="Algoritmo de Gauss" sheetId="2" r:id="rId2"/>
    <sheet name="Algoritmo de Butcher" sheetId="3" r:id="rId3"/>
  </sheets>
  <definedNames/>
  <calcPr fullCalcOnLoad="1"/>
</workbook>
</file>

<file path=xl/sharedStrings.xml><?xml version="1.0" encoding="utf-8"?>
<sst xmlns="http://schemas.openxmlformats.org/spreadsheetml/2006/main" count="90" uniqueCount="74">
  <si>
    <t>Cálculo de la fecha de la Pascua de Resurrección</t>
  </si>
  <si>
    <t>A.Roldán 2007</t>
  </si>
  <si>
    <t>(Texto tomado de Wikipedia)</t>
  </si>
  <si>
    <t>A principios del siglo IV había en la Cristiandad una gran confusión sobre cuándo había de celebrarse la Pascua cristiana o de Resurrección, con motivo del aniversario de la muerte de Jesús de Nazaret. Habían surgido en aquel momento numerosas tendencias o grupos de practicantes que utilizaban cálculos propios. Ya en el Concilio de Arlés (314), se obliga a que toda la Cristiandad celebre la Pascua el mismo día, y que esta fecha ha de ser fijada por el Papa, que enviaría epístolas a todas las iglesias del Orbe con las instrucciones necesarias. Sin embargo, no todas las congregaciones siguieron estos preceptos. Es en el Concilio de Nicea de 325 donde se llega finalmente a una solución para este asunto.</t>
  </si>
  <si>
    <t>En él se establece que la Pascua de Resurrección había de ser celebrada cumpliendo unas determinadas normas:</t>
  </si>
  <si>
    <t xml:space="preserve">Que la Pascua se celebrase en domingo. </t>
  </si>
  <si>
    <t xml:space="preserve">Que no coincidiese nunca con la Pascua judía, que se celebraba independientemente del día de la semana (para evitar paralelismos o confusiones entre ambas religiones). </t>
  </si>
  <si>
    <t xml:space="preserve">Que los Cristianos no celebrasen nunca la Pascua dos veces en el mismo año. Esto tiene su explicación porque el año nuevo empezaba en el equinoccio primaveral, por lo que se prohibía la celebración de la Pascua antes del equinoccio real (antes de la entrada en Aries). </t>
  </si>
  <si>
    <t>Para respetar estas normas se idearon varios algoritmos. Veamos alguno.</t>
  </si>
  <si>
    <t>Tabla para elegir M y N</t>
  </si>
  <si>
    <t xml:space="preserve">  Años             M   N</t>
  </si>
  <si>
    <t>Algoritmo de Gauss</t>
  </si>
  <si>
    <t>1583-1699    22   2</t>
  </si>
  <si>
    <t>1700-1799    23   3</t>
  </si>
  <si>
    <t>1800-1899    23   4</t>
  </si>
  <si>
    <t>1900-2099    24   5</t>
  </si>
  <si>
    <t>Escribe el año deseado:</t>
  </si>
  <si>
    <t>2100-2199    24   6</t>
  </si>
  <si>
    <t xml:space="preserve">2200-2299    25   0 </t>
  </si>
  <si>
    <t>Comenzamos el algoritmo definiendo cinco variables</t>
  </si>
  <si>
    <t>M</t>
  </si>
  <si>
    <t>N</t>
  </si>
  <si>
    <t>A es el resto de dividir el año entre 19</t>
  </si>
  <si>
    <t>A</t>
  </si>
  <si>
    <t>B es el resto de dividir el año entre 4</t>
  </si>
  <si>
    <t>B</t>
  </si>
  <si>
    <t>A estas constantes le das el valor según el año.</t>
  </si>
  <si>
    <t>C es el resto de dividirlo entre 7</t>
  </si>
  <si>
    <t>C</t>
  </si>
  <si>
    <t>D es el resto de 19A+M entre 30</t>
  </si>
  <si>
    <t>D</t>
  </si>
  <si>
    <t>E es el resto de 2B+4C+6D+N entre 7</t>
  </si>
  <si>
    <t>E</t>
  </si>
  <si>
    <t>Fecha</t>
  </si>
  <si>
    <t>de</t>
  </si>
  <si>
    <t>Este algoritmo falla si la solución es</t>
  </si>
  <si>
    <t>26 de Abril, que habrá de sustituirse por el 19</t>
  </si>
  <si>
    <t>y si es el 25 de Abril con D=28, E=6 y A&gt;10</t>
  </si>
  <si>
    <t>se deberá sustituir por el 18.</t>
  </si>
  <si>
    <t>Otras fechas</t>
  </si>
  <si>
    <t>Número de mes</t>
  </si>
  <si>
    <t>Fecha global</t>
  </si>
  <si>
    <t>Carnaval</t>
  </si>
  <si>
    <t>Miércoles de ceniza</t>
  </si>
  <si>
    <t>Domingo de Ramos</t>
  </si>
  <si>
    <t>Jueves Santo</t>
  </si>
  <si>
    <t>Viernes Santo</t>
  </si>
  <si>
    <t>Ascensión</t>
  </si>
  <si>
    <t>Pentecostés</t>
  </si>
  <si>
    <t>Santísima Trinidad</t>
  </si>
  <si>
    <t>Corpus Christi</t>
  </si>
  <si>
    <t>Algoritmo de Butcher</t>
  </si>
  <si>
    <t>Sólo es válido entre 1700 y 2300</t>
  </si>
  <si>
    <t>Comenzamos el algoritmo definiendo variables mediante divisiones</t>
  </si>
  <si>
    <t>Cociente</t>
  </si>
  <si>
    <t>Resto</t>
  </si>
  <si>
    <t>Se divide el año entre 19</t>
  </si>
  <si>
    <t>Se divide el año entre 100</t>
  </si>
  <si>
    <t>Se divide B entre 4</t>
  </si>
  <si>
    <t>Se divide (B+8) entre 25</t>
  </si>
  <si>
    <t>F</t>
  </si>
  <si>
    <t xml:space="preserve"> </t>
  </si>
  <si>
    <t>Se divide (B-F+1) entre 3</t>
  </si>
  <si>
    <t>G</t>
  </si>
  <si>
    <t>Dividimos (19A+B-D-G+15) entre 30</t>
  </si>
  <si>
    <t>H</t>
  </si>
  <si>
    <t>Se divide C entre 4</t>
  </si>
  <si>
    <t>I</t>
  </si>
  <si>
    <t>K</t>
  </si>
  <si>
    <t>Dividimos 32+2E+2I-H-K entre 7</t>
  </si>
  <si>
    <t>L</t>
  </si>
  <si>
    <t>Se divide A+11H+22L entre 451</t>
  </si>
  <si>
    <t>Se divide H+L-7M+114 entre 31</t>
  </si>
  <si>
    <t>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</si>
</sst>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dd\,\ d&quot; de &quot;mmmm"/>
    <numFmt numFmtId="166" formatCode="mm/dd/yy"/>
    <numFmt numFmtId="167" formatCode="dddd\,\ d&quot; de &quot;mmmm&quot; de &quot;yyyy"/>
  </numFmts>
  <fonts count="13">
    <font>
      <sz val="10"/>
      <name val="Arial"/>
      <family val="2"/>
    </font>
    <font>
      <sz val="16"/>
      <color indexed="16"/>
      <name val="Arial"/>
      <family val="2"/>
    </font>
    <font>
      <sz val="10"/>
      <color indexed="17"/>
      <name val="Arial"/>
      <family val="2"/>
    </font>
    <font>
      <sz val="10"/>
      <color indexed="18"/>
      <name val="Arial"/>
      <family val="2"/>
    </font>
    <font>
      <sz val="12"/>
      <name val="Arial"/>
      <family val="2"/>
    </font>
    <font>
      <sz val="12"/>
      <color indexed="18"/>
      <name val="Arial"/>
      <family val="2"/>
    </font>
    <font>
      <sz val="10"/>
      <color indexed="16"/>
      <name val="Arial"/>
      <family val="2"/>
    </font>
    <font>
      <sz val="10"/>
      <color indexed="56"/>
      <name val="Arial"/>
      <family val="2"/>
    </font>
    <font>
      <b/>
      <sz val="10"/>
      <color indexed="16"/>
      <name val="Arial"/>
      <family val="2"/>
    </font>
    <font>
      <sz val="14"/>
      <color indexed="16"/>
      <name val="Arial"/>
      <family val="2"/>
    </font>
    <font>
      <sz val="6.8"/>
      <name val="Times New Roman"/>
      <family val="1"/>
    </font>
    <font>
      <sz val="12"/>
      <color indexed="16"/>
      <name val="Times New Roman"/>
      <family val="1"/>
    </font>
    <font>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s>
  <borders count="11">
    <border>
      <left/>
      <right/>
      <top/>
      <bottom/>
      <diagonal/>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4" fillId="2" borderId="1"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4" fillId="2" borderId="4" xfId="0" applyFont="1" applyFill="1" applyBorder="1" applyAlignment="1">
      <alignment/>
    </xf>
    <xf numFmtId="0" fontId="5" fillId="0" borderId="0" xfId="0" applyFont="1" applyAlignment="1">
      <alignment/>
    </xf>
    <xf numFmtId="0" fontId="4" fillId="2" borderId="5" xfId="0" applyFont="1" applyFill="1" applyBorder="1" applyAlignment="1">
      <alignment/>
    </xf>
    <xf numFmtId="0" fontId="4" fillId="2" borderId="6" xfId="0" applyFont="1" applyFill="1" applyBorder="1" applyAlignment="1">
      <alignment/>
    </xf>
    <xf numFmtId="164" fontId="6" fillId="3" borderId="0" xfId="0" applyNumberFormat="1" applyFont="1" applyFill="1" applyAlignment="1">
      <alignment horizontal="center"/>
    </xf>
    <xf numFmtId="0" fontId="7" fillId="2" borderId="0" xfId="0" applyFont="1" applyFill="1" applyAlignment="1">
      <alignment horizontal="center"/>
    </xf>
    <xf numFmtId="164" fontId="6" fillId="3" borderId="0" xfId="0" applyNumberFormat="1" applyFont="1" applyFill="1" applyAlignment="1">
      <alignment/>
    </xf>
    <xf numFmtId="0" fontId="6" fillId="3" borderId="0" xfId="0" applyFont="1" applyFill="1" applyAlignment="1">
      <alignment/>
    </xf>
    <xf numFmtId="0" fontId="8" fillId="4" borderId="0" xfId="0" applyFont="1" applyFill="1" applyAlignment="1">
      <alignment/>
    </xf>
    <xf numFmtId="0" fontId="9" fillId="4" borderId="7" xfId="0" applyFont="1" applyFill="1" applyBorder="1" applyAlignment="1">
      <alignment horizontal="right" vertical="center"/>
    </xf>
    <xf numFmtId="0" fontId="9" fillId="4" borderId="8" xfId="0" applyFont="1" applyFill="1" applyBorder="1" applyAlignment="1">
      <alignment vertical="center"/>
    </xf>
    <xf numFmtId="0" fontId="9" fillId="4" borderId="8" xfId="0" applyFont="1" applyFill="1" applyBorder="1" applyAlignment="1">
      <alignment horizontal="center" vertical="center"/>
    </xf>
    <xf numFmtId="0" fontId="9" fillId="4" borderId="9"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0" xfId="0" applyFont="1" applyAlignment="1">
      <alignment/>
    </xf>
    <xf numFmtId="0" fontId="10" fillId="0" borderId="0" xfId="0" applyFont="1" applyAlignment="1">
      <alignment/>
    </xf>
    <xf numFmtId="166" fontId="0" fillId="0" borderId="0" xfId="0" applyAlignment="1">
      <alignment/>
    </xf>
    <xf numFmtId="0" fontId="0" fillId="0" borderId="0" xfId="0" applyAlignment="1">
      <alignment horizontal="left"/>
    </xf>
    <xf numFmtId="0" fontId="1" fillId="5" borderId="10" xfId="0" applyFont="1" applyFill="1" applyBorder="1" applyAlignment="1">
      <alignment horizontal="center" vertical="center"/>
    </xf>
    <xf numFmtId="0" fontId="0" fillId="0" borderId="0" xfId="0" applyFont="1" applyAlignment="1">
      <alignment wrapText="1"/>
    </xf>
    <xf numFmtId="0" fontId="3" fillId="0" borderId="0" xfId="0" applyFont="1" applyAlignment="1">
      <alignment wrapText="1"/>
    </xf>
    <xf numFmtId="0" fontId="1" fillId="5" borderId="10" xfId="0" applyNumberFormat="1" applyFont="1" applyFill="1" applyBorder="1" applyAlignment="1" applyProtection="1">
      <alignment horizontal="center" vertical="center"/>
      <protection locked="0"/>
    </xf>
    <xf numFmtId="0" fontId="0" fillId="2" borderId="0" xfId="0" applyFont="1" applyFill="1" applyAlignment="1">
      <alignment wrapText="1"/>
    </xf>
    <xf numFmtId="165" fontId="9" fillId="4" borderId="10" xfId="0" applyNumberFormat="1" applyFont="1" applyFill="1" applyBorder="1" applyAlignment="1">
      <alignment horizontal="center"/>
    </xf>
    <xf numFmtId="167" fontId="0" fillId="0" borderId="0" xfId="0" applyNumberFormat="1" applyAlignment="1">
      <alignment horizontal="left"/>
    </xf>
    <xf numFmtId="0" fontId="6" fillId="0" borderId="0" xfId="0" applyFont="1" applyFill="1" applyBorder="1" applyAlignment="1">
      <alignment/>
    </xf>
    <xf numFmtId="0" fontId="0" fillId="0" borderId="0" xfId="0" applyFill="1" applyBorder="1" applyAlignment="1">
      <alignment/>
    </xf>
    <xf numFmtId="165" fontId="9" fillId="0" borderId="0" xfId="0" applyNumberFormat="1" applyFont="1" applyFill="1" applyBorder="1" applyAlignment="1">
      <alignment horizontal="center"/>
    </xf>
    <xf numFmtId="0" fontId="8"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A4A"/>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19</xdr:row>
      <xdr:rowOff>76200</xdr:rowOff>
    </xdr:from>
    <xdr:to>
      <xdr:col>5</xdr:col>
      <xdr:colOff>495300</xdr:colOff>
      <xdr:row>22</xdr:row>
      <xdr:rowOff>161925</xdr:rowOff>
    </xdr:to>
    <xdr:sp>
      <xdr:nvSpPr>
        <xdr:cNvPr id="1" name="AutoShape 1"/>
        <xdr:cNvSpPr>
          <a:spLocks/>
        </xdr:cNvSpPr>
      </xdr:nvSpPr>
      <xdr:spPr>
        <a:xfrm>
          <a:off x="2800350" y="3448050"/>
          <a:ext cx="1552575" cy="638175"/>
        </a:xfrm>
        <a:prstGeom prst="wedgeRoundRectCallout">
          <a:avLst>
            <a:gd name="adj1" fmla="val -18689"/>
            <a:gd name="adj2" fmla="val 90837"/>
          </a:avLst>
        </a:prstGeom>
        <a:solidFill>
          <a:srgbClr val="99CCFF"/>
        </a:solidFill>
        <a:ln w="952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800000"/>
              </a:solidFill>
            </a:rPr>
            <a:t>Consulta abajo las demás fechas religiosas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16"/>
  <sheetViews>
    <sheetView showGridLines="0" workbookViewId="0" topLeftCell="A1">
      <selection activeCell="B16" sqref="B16"/>
    </sheetView>
  </sheetViews>
  <sheetFormatPr defaultColWidth="11.57421875" defaultRowHeight="12.75"/>
  <sheetData>
    <row r="3" spans="2:10" ht="12.75">
      <c r="B3" s="26" t="s">
        <v>0</v>
      </c>
      <c r="C3" s="26"/>
      <c r="D3" s="26"/>
      <c r="E3" s="26"/>
      <c r="F3" s="26"/>
      <c r="G3" s="26"/>
      <c r="H3" s="26"/>
      <c r="J3" s="1" t="s">
        <v>1</v>
      </c>
    </row>
    <row r="4" spans="2:8" ht="12.75">
      <c r="B4" s="26"/>
      <c r="C4" s="26"/>
      <c r="D4" s="26"/>
      <c r="E4" s="26"/>
      <c r="F4" s="26"/>
      <c r="G4" s="26"/>
      <c r="H4" s="26"/>
    </row>
    <row r="6" spans="2:4" ht="12.75">
      <c r="B6" s="1" t="s">
        <v>2</v>
      </c>
      <c r="C6" s="1"/>
      <c r="D6" s="1"/>
    </row>
    <row r="8" spans="2:10" ht="86.25" customHeight="1">
      <c r="B8" s="27" t="s">
        <v>3</v>
      </c>
      <c r="C8" s="27"/>
      <c r="D8" s="27"/>
      <c r="E8" s="27"/>
      <c r="F8" s="27"/>
      <c r="G8" s="27"/>
      <c r="H8" s="27"/>
      <c r="I8" s="27"/>
      <c r="J8" s="27"/>
    </row>
    <row r="9" ht="28.5" customHeight="1">
      <c r="B9" t="s">
        <v>4</v>
      </c>
    </row>
    <row r="11" spans="2:10" ht="12.75">
      <c r="B11" s="2" t="s">
        <v>5</v>
      </c>
      <c r="C11" s="2"/>
      <c r="D11" s="2"/>
      <c r="E11" s="2"/>
      <c r="F11" s="2"/>
      <c r="G11" s="2"/>
      <c r="H11" s="2"/>
      <c r="I11" s="2"/>
      <c r="J11" s="2"/>
    </row>
    <row r="12" spans="2:10" ht="39.75" customHeight="1">
      <c r="B12" s="28" t="s">
        <v>6</v>
      </c>
      <c r="C12" s="28"/>
      <c r="D12" s="28"/>
      <c r="E12" s="28"/>
      <c r="F12" s="28"/>
      <c r="G12" s="28"/>
      <c r="H12" s="28"/>
      <c r="I12" s="28"/>
      <c r="J12" s="28"/>
    </row>
    <row r="13" spans="2:10" ht="19.5" customHeight="1">
      <c r="B13" s="3"/>
      <c r="C13" s="2"/>
      <c r="D13" s="2"/>
      <c r="E13" s="2"/>
      <c r="F13" s="2"/>
      <c r="G13" s="2"/>
      <c r="H13" s="2"/>
      <c r="I13" s="2"/>
      <c r="J13" s="2"/>
    </row>
    <row r="14" spans="2:10" ht="36" customHeight="1">
      <c r="B14" s="28" t="s">
        <v>7</v>
      </c>
      <c r="C14" s="28"/>
      <c r="D14" s="28"/>
      <c r="E14" s="28"/>
      <c r="F14" s="28"/>
      <c r="G14" s="28"/>
      <c r="H14" s="28"/>
      <c r="I14" s="28"/>
      <c r="J14" s="28"/>
    </row>
    <row r="16" ht="12.75">
      <c r="B16" t="s">
        <v>8</v>
      </c>
    </row>
  </sheetData>
  <mergeCells count="4">
    <mergeCell ref="B3:H4"/>
    <mergeCell ref="B8:J8"/>
    <mergeCell ref="B12:J12"/>
    <mergeCell ref="B14:J14"/>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I39"/>
  <sheetViews>
    <sheetView showGridLines="0" workbookViewId="0" topLeftCell="A17">
      <selection activeCell="E9" sqref="E9"/>
    </sheetView>
  </sheetViews>
  <sheetFormatPr defaultColWidth="11.421875" defaultRowHeight="12.75"/>
  <cols>
    <col min="1" max="5" width="11.57421875" style="0" customWidth="1"/>
    <col min="6" max="6" width="13.57421875" style="0" customWidth="1"/>
    <col min="7" max="7" width="11.57421875" style="0" customWidth="1"/>
    <col min="8" max="8" width="9.7109375" style="0" customWidth="1"/>
    <col min="9" max="9" width="13.421875" style="0" customWidth="1"/>
    <col min="10" max="16384" width="11.57421875" style="0" customWidth="1"/>
  </cols>
  <sheetData>
    <row r="1" spans="1:8" ht="12.75">
      <c r="A1" s="1" t="s">
        <v>1</v>
      </c>
      <c r="H1" t="s">
        <v>9</v>
      </c>
    </row>
    <row r="2" spans="8:9" ht="15">
      <c r="H2" s="4" t="s">
        <v>10</v>
      </c>
      <c r="I2" s="5"/>
    </row>
    <row r="3" spans="2:9" ht="15">
      <c r="B3" s="26" t="s">
        <v>11</v>
      </c>
      <c r="C3" s="26"/>
      <c r="D3" s="26"/>
      <c r="E3" s="26"/>
      <c r="H3" s="6" t="s">
        <v>12</v>
      </c>
      <c r="I3" s="7"/>
    </row>
    <row r="4" spans="2:9" ht="15">
      <c r="B4" s="26"/>
      <c r="C4" s="26"/>
      <c r="D4" s="26"/>
      <c r="E4" s="26"/>
      <c r="H4" s="6" t="s">
        <v>13</v>
      </c>
      <c r="I4" s="7"/>
    </row>
    <row r="5" spans="8:9" ht="15">
      <c r="H5" s="6" t="s">
        <v>14</v>
      </c>
      <c r="I5" s="7"/>
    </row>
    <row r="6" spans="2:9" ht="15">
      <c r="B6" s="2"/>
      <c r="H6" s="6" t="s">
        <v>15</v>
      </c>
      <c r="I6" s="7"/>
    </row>
    <row r="7" spans="2:9" ht="15">
      <c r="B7" s="8" t="s">
        <v>16</v>
      </c>
      <c r="E7" s="29">
        <v>1992</v>
      </c>
      <c r="F7" s="29"/>
      <c r="H7" s="6" t="s">
        <v>17</v>
      </c>
      <c r="I7" s="7"/>
    </row>
    <row r="8" spans="5:9" ht="15">
      <c r="E8" s="29"/>
      <c r="F8" s="29"/>
      <c r="H8" s="9" t="s">
        <v>18</v>
      </c>
      <c r="I8" s="10"/>
    </row>
    <row r="11" spans="2:9" ht="15">
      <c r="B11" s="8" t="s">
        <v>19</v>
      </c>
      <c r="H11" s="11" t="s">
        <v>20</v>
      </c>
      <c r="I11" s="12">
        <v>24</v>
      </c>
    </row>
    <row r="12" spans="8:9" ht="12.75">
      <c r="H12" s="11" t="s">
        <v>21</v>
      </c>
      <c r="I12" s="12">
        <v>5</v>
      </c>
    </row>
    <row r="13" spans="2:6" ht="12.75">
      <c r="B13" s="13" t="s">
        <v>22</v>
      </c>
      <c r="C13" s="14"/>
      <c r="D13" s="14"/>
      <c r="E13" s="12" t="s">
        <v>23</v>
      </c>
      <c r="F13" s="15">
        <f>MOD(E7,19)</f>
        <v>16</v>
      </c>
    </row>
    <row r="14" spans="2:9" ht="12.75">
      <c r="B14" s="14" t="s">
        <v>24</v>
      </c>
      <c r="C14" s="14"/>
      <c r="D14" s="14"/>
      <c r="E14" s="12" t="s">
        <v>25</v>
      </c>
      <c r="F14" s="15">
        <f>MOD(E7,4)</f>
        <v>0</v>
      </c>
      <c r="H14" s="30" t="s">
        <v>26</v>
      </c>
      <c r="I14" s="30"/>
    </row>
    <row r="15" spans="2:9" ht="12.75">
      <c r="B15" s="14" t="s">
        <v>27</v>
      </c>
      <c r="C15" s="14"/>
      <c r="D15" s="14"/>
      <c r="E15" s="12" t="s">
        <v>28</v>
      </c>
      <c r="F15" s="15">
        <f>MOD(E7,7)</f>
        <v>4</v>
      </c>
      <c r="H15" s="30"/>
      <c r="I15" s="30"/>
    </row>
    <row r="16" spans="2:6" ht="12.75">
      <c r="B16" s="14" t="s">
        <v>29</v>
      </c>
      <c r="C16" s="14"/>
      <c r="D16" s="14"/>
      <c r="E16" s="12" t="s">
        <v>30</v>
      </c>
      <c r="F16" s="15">
        <f>MOD(19*F13+I11,30)</f>
        <v>28</v>
      </c>
    </row>
    <row r="17" spans="2:6" ht="12.75">
      <c r="B17" s="14" t="s">
        <v>31</v>
      </c>
      <c r="C17" s="14"/>
      <c r="D17" s="14"/>
      <c r="E17" s="12" t="s">
        <v>32</v>
      </c>
      <c r="F17" s="15">
        <f>MOD(2*F14+4*F15+6*F16+I12,7)</f>
        <v>0</v>
      </c>
    </row>
    <row r="19" spans="3:8" ht="18">
      <c r="C19" s="16" t="s">
        <v>33</v>
      </c>
      <c r="D19" s="17">
        <f>IF(F16+F17&lt;10,F16+F17+22,F16+F17-9)</f>
        <v>19</v>
      </c>
      <c r="E19" s="18" t="s">
        <v>34</v>
      </c>
      <c r="F19" s="19" t="str">
        <f>IF(F16+F17&lt;10,"Marzo","Abril")</f>
        <v>Abril</v>
      </c>
      <c r="H19" s="1" t="s">
        <v>35</v>
      </c>
    </row>
    <row r="20" spans="3:8" ht="18">
      <c r="C20" s="20"/>
      <c r="D20" s="21"/>
      <c r="E20" s="21"/>
      <c r="F20" s="21"/>
      <c r="H20" s="1" t="s">
        <v>36</v>
      </c>
    </row>
    <row r="21" spans="4:8" ht="12.75">
      <c r="D21" s="33"/>
      <c r="E21" s="34"/>
      <c r="F21" s="34"/>
      <c r="G21" s="34"/>
      <c r="H21" s="1"/>
    </row>
    <row r="22" spans="4:8" ht="12.75">
      <c r="D22" s="34"/>
      <c r="E22" s="34"/>
      <c r="F22" s="34"/>
      <c r="G22" s="34"/>
      <c r="H22" s="1" t="s">
        <v>37</v>
      </c>
    </row>
    <row r="23" spans="4:8" ht="18">
      <c r="D23" s="35"/>
      <c r="E23" s="35"/>
      <c r="F23" s="35"/>
      <c r="G23" s="34"/>
      <c r="H23" s="1" t="s">
        <v>38</v>
      </c>
    </row>
    <row r="24" spans="4:7" ht="12.75">
      <c r="D24" s="36"/>
      <c r="E24" s="34"/>
      <c r="F24" s="34"/>
      <c r="G24" s="34"/>
    </row>
    <row r="26" spans="2:6" ht="18">
      <c r="B26" s="23"/>
      <c r="D26" s="31" t="s">
        <v>39</v>
      </c>
      <c r="E26" s="31"/>
      <c r="F26" s="31"/>
    </row>
    <row r="28" spans="4:6" ht="12.75">
      <c r="D28" t="s">
        <v>40</v>
      </c>
      <c r="F28">
        <f>IF(F19="Marzo",3,4)</f>
        <v>4</v>
      </c>
    </row>
    <row r="29" spans="4:6" ht="12.75">
      <c r="D29" t="s">
        <v>41</v>
      </c>
      <c r="F29" s="24">
        <f>DATE(E7,F28,D19)</f>
        <v>33713</v>
      </c>
    </row>
    <row r="31" spans="3:8" ht="12.75">
      <c r="C31" t="s">
        <v>42</v>
      </c>
      <c r="F31" s="32">
        <f>F32-3</f>
        <v>33664</v>
      </c>
      <c r="G31" s="32"/>
      <c r="H31" s="32"/>
    </row>
    <row r="32" spans="3:8" ht="12.75">
      <c r="C32" t="s">
        <v>43</v>
      </c>
      <c r="F32" s="32">
        <f>F29-46</f>
        <v>33667</v>
      </c>
      <c r="G32" s="32"/>
      <c r="H32" s="32"/>
    </row>
    <row r="33" spans="3:8" ht="12.75">
      <c r="C33" t="s">
        <v>44</v>
      </c>
      <c r="F33" s="32">
        <f>F29-7</f>
        <v>33706</v>
      </c>
      <c r="G33" s="32"/>
      <c r="H33" s="32"/>
    </row>
    <row r="34" spans="3:8" ht="12.75">
      <c r="C34" t="s">
        <v>45</v>
      </c>
      <c r="F34" s="32">
        <f>F29-3</f>
        <v>33710</v>
      </c>
      <c r="G34" s="32"/>
      <c r="H34" s="32"/>
    </row>
    <row r="35" spans="3:8" ht="12.75">
      <c r="C35" t="s">
        <v>46</v>
      </c>
      <c r="F35" s="32">
        <f>F34+1</f>
        <v>33711</v>
      </c>
      <c r="G35" s="32"/>
      <c r="H35" s="32"/>
    </row>
    <row r="36" spans="3:8" ht="12.75">
      <c r="C36" t="s">
        <v>47</v>
      </c>
      <c r="F36" s="32">
        <f>F37-10</f>
        <v>33752</v>
      </c>
      <c r="G36" s="32"/>
      <c r="H36" s="32"/>
    </row>
    <row r="37" spans="3:8" ht="12.75">
      <c r="C37" t="s">
        <v>48</v>
      </c>
      <c r="F37" s="32">
        <f>F29+49</f>
        <v>33762</v>
      </c>
      <c r="G37" s="32"/>
      <c r="H37" s="32"/>
    </row>
    <row r="38" spans="3:8" ht="12.75">
      <c r="C38" t="s">
        <v>49</v>
      </c>
      <c r="F38" s="32">
        <f>F37+7</f>
        <v>33769</v>
      </c>
      <c r="G38" s="32"/>
      <c r="H38" s="32"/>
    </row>
    <row r="39" spans="3:8" ht="12.75">
      <c r="C39" t="s">
        <v>50</v>
      </c>
      <c r="F39" s="32">
        <f>F36+21</f>
        <v>33773</v>
      </c>
      <c r="G39" s="32"/>
      <c r="H39" s="32"/>
    </row>
  </sheetData>
  <mergeCells count="14">
    <mergeCell ref="F38:H38"/>
    <mergeCell ref="F39:H39"/>
    <mergeCell ref="F34:H34"/>
    <mergeCell ref="F35:H35"/>
    <mergeCell ref="F36:H36"/>
    <mergeCell ref="F37:H37"/>
    <mergeCell ref="D26:F26"/>
    <mergeCell ref="F31:H31"/>
    <mergeCell ref="F32:H32"/>
    <mergeCell ref="F33:H33"/>
    <mergeCell ref="B3:E4"/>
    <mergeCell ref="E7:F8"/>
    <mergeCell ref="H14:I15"/>
    <mergeCell ref="D23:F23"/>
  </mergeCells>
  <printOptions/>
  <pageMargins left="0.7875" right="0.7875" top="1.025" bottom="1.025" header="0.7875" footer="0.7875"/>
  <pageSetup horizontalDpi="300" verticalDpi="300" orientation="portrait" paperSize="9" r:id="rId2"/>
  <headerFooter alignWithMargins="0">
    <oddHeader>&amp;C&amp;A</oddHeader>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J45"/>
  <sheetViews>
    <sheetView showGridLines="0" tabSelected="1" workbookViewId="0" topLeftCell="A1">
      <selection activeCell="E9" sqref="E9"/>
    </sheetView>
  </sheetViews>
  <sheetFormatPr defaultColWidth="11.421875" defaultRowHeight="12.75"/>
  <cols>
    <col min="1" max="5" width="11.57421875" style="0" customWidth="1"/>
    <col min="6" max="6" width="13.57421875" style="0" customWidth="1"/>
    <col min="7" max="7" width="11.57421875" style="0" customWidth="1"/>
    <col min="8" max="8" width="9.7109375" style="0" customWidth="1"/>
    <col min="9" max="9" width="13.421875" style="0" customWidth="1"/>
    <col min="10" max="16384" width="11.57421875" style="0" customWidth="1"/>
  </cols>
  <sheetData>
    <row r="1" ht="12.75">
      <c r="A1" s="1" t="s">
        <v>1</v>
      </c>
    </row>
    <row r="3" spans="2:5" ht="12.75">
      <c r="B3" s="26" t="s">
        <v>51</v>
      </c>
      <c r="C3" s="26"/>
      <c r="D3" s="26"/>
      <c r="E3" s="26"/>
    </row>
    <row r="4" spans="2:8" ht="12.75">
      <c r="B4" s="26"/>
      <c r="C4" s="26"/>
      <c r="D4" s="26"/>
      <c r="E4" s="26"/>
      <c r="H4" s="22" t="s">
        <v>52</v>
      </c>
    </row>
    <row r="6" ht="12.75">
      <c r="B6" s="2"/>
    </row>
    <row r="7" spans="2:6" ht="15">
      <c r="B7" s="8" t="s">
        <v>16</v>
      </c>
      <c r="E7" s="29">
        <v>1992</v>
      </c>
      <c r="F7" s="29"/>
    </row>
    <row r="8" spans="5:6" ht="12.75">
      <c r="E8" s="29"/>
      <c r="F8" s="29"/>
    </row>
    <row r="11" ht="15">
      <c r="B11" s="8" t="s">
        <v>53</v>
      </c>
    </row>
    <row r="12" ht="15">
      <c r="B12" s="8"/>
    </row>
    <row r="13" spans="5:7" ht="12.75">
      <c r="E13" t="s">
        <v>54</v>
      </c>
      <c r="G13" t="s">
        <v>55</v>
      </c>
    </row>
    <row r="14" spans="2:8" ht="12.75">
      <c r="B14" s="13" t="s">
        <v>56</v>
      </c>
      <c r="C14" s="14"/>
      <c r="D14" s="14"/>
      <c r="E14" s="12"/>
      <c r="F14" s="15">
        <f>INT(E7/19)</f>
        <v>104</v>
      </c>
      <c r="G14" s="12" t="s">
        <v>23</v>
      </c>
      <c r="H14" s="15">
        <f>MOD(E7,19)</f>
        <v>16</v>
      </c>
    </row>
    <row r="15" spans="2:8" ht="12.75">
      <c r="B15" s="14" t="s">
        <v>57</v>
      </c>
      <c r="C15" s="14"/>
      <c r="D15" s="14"/>
      <c r="E15" s="12" t="s">
        <v>25</v>
      </c>
      <c r="F15" s="15">
        <f>INT(E7/100)</f>
        <v>19</v>
      </c>
      <c r="G15" s="12" t="s">
        <v>28</v>
      </c>
      <c r="H15" s="15">
        <f>MOD(E7,100)</f>
        <v>92</v>
      </c>
    </row>
    <row r="16" spans="2:8" ht="12.75">
      <c r="B16" s="14" t="s">
        <v>58</v>
      </c>
      <c r="C16" s="14"/>
      <c r="D16" s="14"/>
      <c r="E16" s="12" t="s">
        <v>30</v>
      </c>
      <c r="F16" s="15">
        <f>INT(F15/4)</f>
        <v>4</v>
      </c>
      <c r="G16" s="12" t="s">
        <v>32</v>
      </c>
      <c r="H16" s="15">
        <f>MOD(F15,4)</f>
        <v>3</v>
      </c>
    </row>
    <row r="17" spans="2:8" ht="12.75">
      <c r="B17" s="14" t="s">
        <v>59</v>
      </c>
      <c r="C17" s="14"/>
      <c r="D17" s="14"/>
      <c r="E17" s="12" t="s">
        <v>60</v>
      </c>
      <c r="F17" s="15">
        <f>INT((F15+8)/25)</f>
        <v>1</v>
      </c>
      <c r="G17" s="12" t="s">
        <v>61</v>
      </c>
      <c r="H17" s="15" t="s">
        <v>61</v>
      </c>
    </row>
    <row r="18" spans="2:8" ht="12.75">
      <c r="B18" s="14" t="s">
        <v>62</v>
      </c>
      <c r="C18" s="14"/>
      <c r="D18" s="14"/>
      <c r="E18" s="12" t="s">
        <v>63</v>
      </c>
      <c r="F18" s="15">
        <f>INT((F15-F17+1)/3)</f>
        <v>6</v>
      </c>
      <c r="G18" s="12" t="s">
        <v>61</v>
      </c>
      <c r="H18" s="15" t="s">
        <v>61</v>
      </c>
    </row>
    <row r="19" spans="2:8" ht="12.75">
      <c r="B19" s="14" t="s">
        <v>64</v>
      </c>
      <c r="C19" s="14"/>
      <c r="D19" s="14"/>
      <c r="E19" s="12"/>
      <c r="F19" s="15"/>
      <c r="G19" s="12" t="s">
        <v>65</v>
      </c>
      <c r="H19" s="15">
        <f>MOD((19*H14+F15-F16-F18+15),30)</f>
        <v>28</v>
      </c>
    </row>
    <row r="20" spans="2:8" ht="12.75">
      <c r="B20" s="14" t="s">
        <v>66</v>
      </c>
      <c r="C20" s="14"/>
      <c r="D20" s="14"/>
      <c r="E20" s="12" t="s">
        <v>67</v>
      </c>
      <c r="F20" s="15">
        <f>INT(H15/4)</f>
        <v>23</v>
      </c>
      <c r="G20" s="12" t="s">
        <v>68</v>
      </c>
      <c r="H20" s="15">
        <f>MOD(H15,4)</f>
        <v>0</v>
      </c>
    </row>
    <row r="21" spans="2:8" ht="12.75">
      <c r="B21" s="14" t="s">
        <v>69</v>
      </c>
      <c r="C21" s="14"/>
      <c r="D21" s="14"/>
      <c r="E21" s="12"/>
      <c r="F21" s="15"/>
      <c r="G21" s="12" t="s">
        <v>70</v>
      </c>
      <c r="H21" s="15">
        <f>MOD(32+2*H16+2*F20-H19-H20,7)</f>
        <v>0</v>
      </c>
    </row>
    <row r="22" spans="2:8" ht="12.75">
      <c r="B22" s="14" t="s">
        <v>71</v>
      </c>
      <c r="C22" s="14"/>
      <c r="D22" s="14"/>
      <c r="E22" s="12" t="s">
        <v>20</v>
      </c>
      <c r="F22" s="15">
        <f>INT((H14+11*H19+22*H21)/451)</f>
        <v>0</v>
      </c>
      <c r="G22" s="12" t="s">
        <v>61</v>
      </c>
      <c r="H22" s="15"/>
    </row>
    <row r="23" spans="2:8" ht="12.75">
      <c r="B23" s="14" t="s">
        <v>72</v>
      </c>
      <c r="C23" s="14"/>
      <c r="D23" s="14"/>
      <c r="E23" s="12" t="s">
        <v>21</v>
      </c>
      <c r="F23" s="15">
        <f>INT((H19+H21-7*F22+114)/31)</f>
        <v>4</v>
      </c>
      <c r="G23" s="12" t="s">
        <v>73</v>
      </c>
      <c r="H23" s="15">
        <f>MOD(H19+H21-7*F22+114,31)</f>
        <v>18</v>
      </c>
    </row>
    <row r="25" spans="3:6" ht="18">
      <c r="C25" s="16" t="s">
        <v>33</v>
      </c>
      <c r="D25" s="17">
        <f>H23+1</f>
        <v>19</v>
      </c>
      <c r="E25" s="18" t="s">
        <v>34</v>
      </c>
      <c r="F25" s="19" t="str">
        <f>IF(F23=3,"Marzo","Abril")</f>
        <v>Abril</v>
      </c>
    </row>
    <row r="26" spans="3:6" ht="18">
      <c r="C26" s="20"/>
      <c r="D26" s="21"/>
      <c r="E26" s="21"/>
      <c r="F26" s="21"/>
    </row>
    <row r="27" spans="4:10" ht="12.75">
      <c r="D27" s="33"/>
      <c r="E27" s="34"/>
      <c r="F27" s="34"/>
      <c r="G27" s="34"/>
      <c r="H27" s="36"/>
      <c r="I27" s="34"/>
      <c r="J27" s="34"/>
    </row>
    <row r="28" spans="4:10" ht="12.75">
      <c r="D28" s="34"/>
      <c r="E28" s="34"/>
      <c r="F28" s="34"/>
      <c r="G28" s="34"/>
      <c r="H28" s="34"/>
      <c r="I28" s="34"/>
      <c r="J28" s="34"/>
    </row>
    <row r="29" spans="4:10" ht="18">
      <c r="D29" s="35"/>
      <c r="E29" s="35"/>
      <c r="F29" s="35"/>
      <c r="G29" s="34"/>
      <c r="H29" s="34"/>
      <c r="I29" s="34"/>
      <c r="J29" s="34"/>
    </row>
    <row r="32" ht="12.75">
      <c r="B32" s="23"/>
    </row>
    <row r="40" ht="12.75">
      <c r="H40" s="25"/>
    </row>
    <row r="41" ht="12.75">
      <c r="H41" s="25"/>
    </row>
    <row r="42" ht="12.75">
      <c r="H42" s="25"/>
    </row>
    <row r="43" ht="12.75">
      <c r="H43" s="25"/>
    </row>
    <row r="44" ht="12.75">
      <c r="H44" s="25"/>
    </row>
    <row r="45" ht="12.75">
      <c r="H45" s="25"/>
    </row>
  </sheetData>
  <mergeCells count="3">
    <mergeCell ref="B3:E4"/>
    <mergeCell ref="E7:F8"/>
    <mergeCell ref="D29:F29"/>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ANTONIO ROLDAN</cp:lastModifiedBy>
  <dcterms:created xsi:type="dcterms:W3CDTF">2007-12-20T17:01:10Z</dcterms:created>
  <dcterms:modified xsi:type="dcterms:W3CDTF">2007-12-20T17:01:10Z</dcterms:modified>
  <cp:category/>
  <cp:version/>
  <cp:contentType/>
  <cp:contentStatus/>
</cp:coreProperties>
</file>